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ISRAEL\0_TRABAJOS ISABELA EXPANSIONES\Expansiones Isabela 2019\Parte Alta\Cerro grande\Version final 16_05_2019\Sector las Merceditas\"/>
    </mc:Choice>
  </mc:AlternateContent>
  <bookViews>
    <workbookView xWindow="0" yWindow="0" windowWidth="20730" windowHeight="11760" activeTab="2"/>
  </bookViews>
  <sheets>
    <sheet name="CONDUCTOR" sheetId="1" r:id="rId1"/>
    <sheet name="ESTRUCTURAS" sheetId="2" r:id="rId2"/>
    <sheet name="MATERIALES" sheetId="3" r:id="rId3"/>
  </sheets>
  <definedNames>
    <definedName name="_xlnm.Print_Area" localSheetId="2">MATERIALES!$B$3:$I$34</definedName>
  </definedNames>
  <calcPr calcId="152511"/>
</workbook>
</file>

<file path=xl/calcChain.xml><?xml version="1.0" encoding="utf-8"?>
<calcChain xmlns="http://schemas.openxmlformats.org/spreadsheetml/2006/main">
  <c r="E4" i="1" l="1"/>
  <c r="E3" i="1"/>
  <c r="E19" i="3" l="1"/>
  <c r="E23" i="3" s="1"/>
  <c r="E18" i="3" l="1"/>
  <c r="I18" i="3" l="1"/>
  <c r="G18" i="3"/>
  <c r="H20" i="3"/>
  <c r="I20" i="3" s="1"/>
  <c r="F20" i="3"/>
  <c r="G20" i="3" s="1"/>
  <c r="I28" i="3"/>
  <c r="E27" i="3" l="1"/>
  <c r="E26" i="3"/>
  <c r="E25" i="3"/>
  <c r="E24" i="3"/>
  <c r="E29" i="3" s="1"/>
  <c r="E21" i="3"/>
  <c r="G30" i="2"/>
  <c r="I30" i="2" s="1"/>
  <c r="E17" i="3"/>
  <c r="E9" i="3"/>
  <c r="E8" i="3"/>
  <c r="E7" i="3"/>
  <c r="G31" i="2"/>
  <c r="G25" i="2"/>
  <c r="I25" i="2" s="1"/>
  <c r="G16" i="2"/>
  <c r="I16" i="2" s="1"/>
  <c r="E11" i="3" s="1"/>
  <c r="G29" i="3" l="1"/>
  <c r="I29" i="3"/>
  <c r="I17" i="3"/>
  <c r="G17" i="3"/>
  <c r="G21" i="3"/>
  <c r="I21" i="3"/>
  <c r="G11" i="3"/>
  <c r="I11" i="3"/>
  <c r="G34" i="2" l="1"/>
  <c r="G35" i="2"/>
  <c r="I35" i="2" s="1"/>
  <c r="G27" i="3" s="1"/>
  <c r="I27" i="3" l="1"/>
  <c r="G33" i="2"/>
  <c r="I33" i="2" s="1"/>
  <c r="I34" i="2"/>
  <c r="I31" i="2"/>
  <c r="E22" i="3" s="1"/>
  <c r="G29" i="2"/>
  <c r="G28" i="2"/>
  <c r="I28" i="2" s="1"/>
  <c r="G21" i="2"/>
  <c r="I21" i="2" s="1"/>
  <c r="G15" i="2"/>
  <c r="I15" i="2" s="1"/>
  <c r="E12" i="3" s="1"/>
  <c r="G14" i="2"/>
  <c r="I14" i="2" s="1"/>
  <c r="E10" i="3" s="1"/>
  <c r="G27" i="2"/>
  <c r="I27" i="2" s="1"/>
  <c r="G26" i="2"/>
  <c r="I26" i="2" s="1"/>
  <c r="G24" i="2"/>
  <c r="I24" i="2" s="1"/>
  <c r="G23" i="2"/>
  <c r="I23" i="2" s="1"/>
  <c r="E16" i="3" s="1"/>
  <c r="G22" i="2"/>
  <c r="I22" i="2" s="1"/>
  <c r="G18" i="2"/>
  <c r="G17" i="2"/>
  <c r="I17" i="2" s="1"/>
  <c r="E13" i="3" s="1"/>
  <c r="G13" i="2"/>
  <c r="I13" i="2" s="1"/>
  <c r="G12" i="2"/>
  <c r="G12" i="3" l="1"/>
  <c r="I12" i="3"/>
  <c r="E15" i="3"/>
  <c r="I15" i="3" s="1"/>
  <c r="K12" i="2"/>
  <c r="G15" i="3" l="1"/>
  <c r="I29" i="2"/>
  <c r="G20" i="2"/>
  <c r="I20" i="2" s="1"/>
  <c r="G19" i="2"/>
  <c r="I19" i="2" s="1"/>
  <c r="I18" i="2" l="1"/>
  <c r="E14" i="3" s="1"/>
  <c r="G15" i="1"/>
  <c r="H8" i="1"/>
  <c r="H9" i="1" s="1"/>
  <c r="H10" i="1" s="1"/>
  <c r="I8" i="1"/>
  <c r="I10" i="1" s="1"/>
  <c r="J8" i="1"/>
  <c r="J10" i="1" s="1"/>
  <c r="F6" i="1"/>
  <c r="F7" i="1"/>
  <c r="F5" i="1"/>
  <c r="I24" i="3" l="1"/>
  <c r="G24" i="3"/>
  <c r="I26" i="3" l="1"/>
  <c r="I23" i="3" l="1"/>
  <c r="G23" i="3"/>
  <c r="G19" i="3"/>
  <c r="I19" i="3"/>
  <c r="G32" i="2" l="1"/>
  <c r="I12" i="2" l="1"/>
  <c r="G16" i="3" l="1"/>
  <c r="I16" i="3"/>
  <c r="G22" i="3"/>
  <c r="G13" i="3"/>
  <c r="I22" i="3" l="1"/>
  <c r="I13" i="3"/>
  <c r="G9" i="3"/>
  <c r="I9" i="3"/>
  <c r="I8" i="3"/>
  <c r="G8" i="3"/>
  <c r="G14" i="3"/>
  <c r="I14" i="3"/>
  <c r="I10" i="3"/>
  <c r="G10" i="3"/>
  <c r="E8" i="1"/>
  <c r="F8" i="1"/>
  <c r="F9" i="1" l="1"/>
  <c r="F10" i="1" s="1"/>
  <c r="E9" i="1"/>
  <c r="E10" i="1" s="1"/>
  <c r="E6" i="3" s="1"/>
  <c r="J6" i="3" s="1"/>
  <c r="I25" i="3"/>
  <c r="G7" i="3"/>
  <c r="I7" i="3"/>
  <c r="G6" i="3" l="1"/>
  <c r="I6" i="3"/>
  <c r="I31" i="3"/>
  <c r="I30" i="3"/>
  <c r="I32" i="3" l="1"/>
  <c r="I33" i="3" l="1"/>
  <c r="I34" i="3" s="1"/>
  <c r="J36" i="3"/>
  <c r="L36" i="3" l="1"/>
  <c r="L38" i="3"/>
</calcChain>
</file>

<file path=xl/sharedStrings.xml><?xml version="1.0" encoding="utf-8"?>
<sst xmlns="http://schemas.openxmlformats.org/spreadsheetml/2006/main" count="182" uniqueCount="113">
  <si>
    <t>De</t>
  </si>
  <si>
    <t>Hasta</t>
  </si>
  <si>
    <t>Distancia (mts)</t>
  </si>
  <si>
    <t>POSTE</t>
  </si>
  <si>
    <t>Estructura MT</t>
  </si>
  <si>
    <t>Estructura BT</t>
  </si>
  <si>
    <t>TENSOR</t>
  </si>
  <si>
    <t>Seccionador</t>
  </si>
  <si>
    <t>Trafo</t>
  </si>
  <si>
    <t>Luminaria</t>
  </si>
  <si>
    <t>Acometida</t>
  </si>
  <si>
    <t>P1</t>
  </si>
  <si>
    <t>P2</t>
  </si>
  <si>
    <t>P6</t>
  </si>
  <si>
    <t>P7</t>
  </si>
  <si>
    <t>Conductor ACSR 2</t>
  </si>
  <si>
    <t>Subtotal</t>
  </si>
  <si>
    <t>Conductor Preensamblado 2x50(50)</t>
  </si>
  <si>
    <t>Multiplex 3x6</t>
  </si>
  <si>
    <t># Acometidas</t>
  </si>
  <si>
    <t>Distancia promedio de acometida</t>
  </si>
  <si>
    <t>TIPO</t>
  </si>
  <si>
    <t>FV</t>
  </si>
  <si>
    <t>ALTURA</t>
  </si>
  <si>
    <t>ITEM</t>
  </si>
  <si>
    <t>12m</t>
  </si>
  <si>
    <t>KGF</t>
  </si>
  <si>
    <t>1EP+1ER</t>
  </si>
  <si>
    <t>1EP</t>
  </si>
  <si>
    <t>2(110W)</t>
  </si>
  <si>
    <t>1ER</t>
  </si>
  <si>
    <t>Desperdicio 1,5%</t>
  </si>
  <si>
    <t>TOTAL</t>
  </si>
  <si>
    <t>10m</t>
  </si>
  <si>
    <t>Conteo de estructuras</t>
  </si>
  <si>
    <t>Descripción</t>
  </si>
  <si>
    <t>Postes 12m FV 500 kgf</t>
  </si>
  <si>
    <t>Postes 10m FV 400 kgf</t>
  </si>
  <si>
    <t>Suma 1</t>
  </si>
  <si>
    <t>Suma 2</t>
  </si>
  <si>
    <t>Conductor TTU # 1/0</t>
  </si>
  <si>
    <t>Conductor TTU # 3/0</t>
  </si>
  <si>
    <t>Item</t>
  </si>
  <si>
    <t>Mano de Obra</t>
  </si>
  <si>
    <t>Suministro y tendido de conductor ACSR, 2AWG</t>
  </si>
  <si>
    <t>Cantidad</t>
  </si>
  <si>
    <t>mts</t>
  </si>
  <si>
    <t>Unidad</t>
  </si>
  <si>
    <t>P. U Materiales</t>
  </si>
  <si>
    <t>Subtotal Mat</t>
  </si>
  <si>
    <t xml:space="preserve">Sub M.O </t>
  </si>
  <si>
    <t>Suministro y montaje de poste de fibra de vidrio de 12 metros, 500 kgf</t>
  </si>
  <si>
    <t>Suministro y montaje de poste de fibra de vidrio de 10 metros, 400 kgf</t>
  </si>
  <si>
    <t>U</t>
  </si>
  <si>
    <t>Suministro y montaje de Estructura ESE-1EP 240V</t>
  </si>
  <si>
    <t>Suministro y montaje de Estructura ESE-1ER 240V</t>
  </si>
  <si>
    <t>Seccionadores</t>
  </si>
  <si>
    <t>Suministro y montaje de puesta a tierra mediante electrodo activo químico</t>
  </si>
  <si>
    <t>Excavación de suelo para montaje de poste o tensor - terreno rocoso</t>
  </si>
  <si>
    <t>Excavación de suelo para montaje de puesta a tierra - terreno rocoso</t>
  </si>
  <si>
    <t>Subtotal M.O</t>
  </si>
  <si>
    <t>Sub 1+2</t>
  </si>
  <si>
    <t>IVA 12%</t>
  </si>
  <si>
    <t>1CRT</t>
  </si>
  <si>
    <t>TAT-0TS</t>
  </si>
  <si>
    <t>1 secc</t>
  </si>
  <si>
    <t>TAD-0TS</t>
  </si>
  <si>
    <t>1PR3e+1ER</t>
  </si>
  <si>
    <t>P3</t>
  </si>
  <si>
    <t>P4</t>
  </si>
  <si>
    <t>P5</t>
  </si>
  <si>
    <t>Trafo monofásico 25 kVA</t>
  </si>
  <si>
    <t>Suministro y montaje de Estructura EST-1CR 15kV</t>
  </si>
  <si>
    <t>Suministro, montaje e instalacion de acometida bifásica en bajo voltaje 240-120V directa</t>
  </si>
  <si>
    <t>1CPT</t>
  </si>
  <si>
    <t>1ED</t>
  </si>
  <si>
    <t>TAT-0PD</t>
  </si>
  <si>
    <t>TAD-0FS</t>
  </si>
  <si>
    <t>TAT-0TD</t>
  </si>
  <si>
    <t>Suministro y montaje de Estructura ESE-1ED 240V</t>
  </si>
  <si>
    <t>Medidor</t>
  </si>
  <si>
    <t>medidor</t>
  </si>
  <si>
    <t>Acometidas</t>
  </si>
  <si>
    <t>Abrazadera para acometida</t>
  </si>
  <si>
    <t>Abrazadera</t>
  </si>
  <si>
    <t>Suministro y montaje  de abrazadera para acometida en bajo voltaje 240-120V(Maximo 6 Acometidas)</t>
  </si>
  <si>
    <t>-</t>
  </si>
  <si>
    <t>Conductor Concentrico de aluminio 2x4(4)</t>
  </si>
  <si>
    <t>1CAT</t>
  </si>
  <si>
    <t>TAT-0PS</t>
  </si>
  <si>
    <t>TAT-0TS+TAD-0TS</t>
  </si>
  <si>
    <t>10 KVA</t>
  </si>
  <si>
    <t>110W</t>
  </si>
  <si>
    <t>Excavaciones</t>
  </si>
  <si>
    <t>Suministro y montaje de Estructura EST-1CA 15kV</t>
  </si>
  <si>
    <t>Suministro y montaje  tensor poste simple 13,8 kV</t>
  </si>
  <si>
    <t>Suministro, montaje e instalación transformador monofásico  autoprotegidol 1F, 10 kVA</t>
  </si>
  <si>
    <t>Trafo monofásico 10 kVA</t>
  </si>
  <si>
    <t>Desbroce de vegetacion</t>
  </si>
  <si>
    <t>km</t>
  </si>
  <si>
    <t>Sector las Merceditas</t>
  </si>
  <si>
    <t>Suministro y tendido de cable preensamblado 2x35+1x35 mm2</t>
  </si>
  <si>
    <t>1CRT+1CPT</t>
  </si>
  <si>
    <t>1ER+1EP</t>
  </si>
  <si>
    <t>Suministro y montaje de Estructura EST-1CP 15kV</t>
  </si>
  <si>
    <t>Suministro y montaje  tensor a tierra simple 13,8 kV</t>
  </si>
  <si>
    <t>Suministro, montaje e instalación de luminaria autocontrolada tipo LED de 110W</t>
  </si>
  <si>
    <t>PROYECTO LAS MERCEDITAS</t>
  </si>
  <si>
    <t>Suministro, montaje e instalacion de medidor bifasico Radio Frecuencia bajo voltaje 220-127V // 240-120V</t>
  </si>
  <si>
    <t>Anexo # 2</t>
  </si>
  <si>
    <t>Suministro y montaje  tensor a tierra simple 240 V</t>
  </si>
  <si>
    <t>Suministro, montaje e instalación de seccionamiento con fusible para una fase (Incluye cruceta y pararrayos)</t>
  </si>
  <si>
    <t>Suministro, montaje e instalación de seccionamiento con fusible para una fase (incluye cruceta y Sin Pararrayos)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</si>
</sst>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 * #,##0.00_ ;_ * \-#,##0.00_ ;_ * &quot;-&quot;??_ ;_ @_ "/>
    <numFmt numFmtId="167" formatCode="0.0"/>
    <numFmt numFmtId="168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>
      <alignment wrapText="1"/>
    </xf>
    <xf numFmtId="165" fontId="2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7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166" fontId="1" fillId="0" borderId="1" xfId="1" applyFont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Fill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168" fontId="2" fillId="0" borderId="0" xfId="2" applyNumberFormat="1" applyFont="1" applyFill="1" applyBorder="1"/>
    <xf numFmtId="164" fontId="2" fillId="0" borderId="0" xfId="2" applyFont="1" applyFill="1" applyBorder="1"/>
    <xf numFmtId="0" fontId="5" fillId="0" borderId="0" xfId="0" applyFont="1"/>
    <xf numFmtId="2" fontId="5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Millares" xfId="1" builtinId="3"/>
    <cellStyle name="Millares [0]" xfId="2" builtinId="6"/>
    <cellStyle name="Millares 2" xfId="4"/>
    <cellStyle name="Normal" xfId="0" builtinId="0"/>
    <cellStyle name="Normal 2" xfId="3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F18" sqref="F18"/>
    </sheetView>
  </sheetViews>
  <sheetFormatPr baseColWidth="10" defaultRowHeight="15" x14ac:dyDescent="0.25"/>
  <cols>
    <col min="4" max="4" width="15.28515625" customWidth="1"/>
    <col min="5" max="5" width="19.140625" customWidth="1"/>
    <col min="6" max="6" width="32.85546875" bestFit="1" customWidth="1"/>
    <col min="7" max="7" width="32.7109375" customWidth="1"/>
    <col min="8" max="8" width="13.140625" hidden="1" customWidth="1"/>
    <col min="9" max="9" width="18.42578125" hidden="1" customWidth="1"/>
    <col min="10" max="10" width="18.85546875" hidden="1" customWidth="1"/>
    <col min="11" max="11" width="0" hidden="1" customWidth="1"/>
  </cols>
  <sheetData>
    <row r="1" spans="2:10" x14ac:dyDescent="0.25">
      <c r="B1" s="31" t="s">
        <v>107</v>
      </c>
      <c r="C1" s="31"/>
      <c r="D1" s="31"/>
      <c r="E1" s="31"/>
    </row>
    <row r="2" spans="2:10" x14ac:dyDescent="0.25">
      <c r="B2" s="1" t="s">
        <v>0</v>
      </c>
      <c r="C2" s="1" t="s">
        <v>1</v>
      </c>
      <c r="D2" s="1" t="s">
        <v>2</v>
      </c>
      <c r="E2" s="1" t="s">
        <v>15</v>
      </c>
      <c r="F2" s="1" t="s">
        <v>17</v>
      </c>
      <c r="H2" s="1" t="s">
        <v>18</v>
      </c>
      <c r="I2" s="1" t="s">
        <v>40</v>
      </c>
      <c r="J2" s="1" t="s">
        <v>41</v>
      </c>
    </row>
    <row r="3" spans="2:10" x14ac:dyDescent="0.25">
      <c r="B3" t="s">
        <v>11</v>
      </c>
      <c r="C3" t="s">
        <v>12</v>
      </c>
      <c r="D3">
        <v>73</v>
      </c>
      <c r="E3">
        <f>2*D3</f>
        <v>146</v>
      </c>
    </row>
    <row r="4" spans="2:10" x14ac:dyDescent="0.25">
      <c r="B4" t="s">
        <v>12</v>
      </c>
      <c r="C4" t="s">
        <v>68</v>
      </c>
      <c r="D4">
        <v>92</v>
      </c>
      <c r="E4">
        <f>2*D4</f>
        <v>184</v>
      </c>
    </row>
    <row r="5" spans="2:10" x14ac:dyDescent="0.25">
      <c r="B5" t="s">
        <v>68</v>
      </c>
      <c r="C5" t="s">
        <v>69</v>
      </c>
      <c r="D5">
        <v>61</v>
      </c>
      <c r="F5">
        <f>1*D5</f>
        <v>61</v>
      </c>
    </row>
    <row r="6" spans="2:10" x14ac:dyDescent="0.25">
      <c r="B6" t="s">
        <v>69</v>
      </c>
      <c r="C6" t="s">
        <v>70</v>
      </c>
      <c r="D6">
        <v>61</v>
      </c>
      <c r="F6">
        <f t="shared" ref="F6:F7" si="0">1*D6</f>
        <v>61</v>
      </c>
    </row>
    <row r="7" spans="2:10" x14ac:dyDescent="0.25">
      <c r="B7" t="s">
        <v>70</v>
      </c>
      <c r="C7" t="s">
        <v>13</v>
      </c>
      <c r="D7">
        <v>62</v>
      </c>
      <c r="F7">
        <f t="shared" si="0"/>
        <v>62</v>
      </c>
    </row>
    <row r="8" spans="2:10" x14ac:dyDescent="0.25">
      <c r="D8" s="2" t="s">
        <v>16</v>
      </c>
      <c r="E8" s="3">
        <f>SUM(E3:E7)</f>
        <v>330</v>
      </c>
      <c r="F8" s="3">
        <f>SUM(F3:F7)</f>
        <v>184</v>
      </c>
      <c r="G8" s="3"/>
      <c r="H8" s="3">
        <f>SUM(H3:H7)</f>
        <v>0</v>
      </c>
      <c r="I8" s="3">
        <f>SUM(I3:I7)</f>
        <v>0</v>
      </c>
      <c r="J8" s="3">
        <f>SUM(J3:J7)</f>
        <v>0</v>
      </c>
    </row>
    <row r="9" spans="2:10" x14ac:dyDescent="0.25">
      <c r="D9" t="s">
        <v>31</v>
      </c>
      <c r="E9" s="3">
        <f>+E8*0.015</f>
        <v>4.95</v>
      </c>
      <c r="F9" s="3">
        <f>+F8*0.015</f>
        <v>2.76</v>
      </c>
      <c r="G9" s="3"/>
      <c r="H9" s="3">
        <f t="shared" ref="H9" si="1">+H8*0.015</f>
        <v>0</v>
      </c>
      <c r="I9" s="3"/>
      <c r="J9" s="3"/>
    </row>
    <row r="10" spans="2:10" x14ac:dyDescent="0.25">
      <c r="D10" t="s">
        <v>32</v>
      </c>
      <c r="E10" s="3">
        <f>+ROUNDUP(+E8+E9,2)</f>
        <v>334.95</v>
      </c>
      <c r="F10" s="3">
        <f>+F8+F9</f>
        <v>186.76</v>
      </c>
      <c r="G10" s="3"/>
      <c r="H10" s="3">
        <f t="shared" ref="H10" si="2">+H8+H9</f>
        <v>0</v>
      </c>
      <c r="I10" s="3">
        <f t="shared" ref="I10:J10" si="3">+I8+I9</f>
        <v>0</v>
      </c>
      <c r="J10" s="3">
        <f t="shared" si="3"/>
        <v>0</v>
      </c>
    </row>
    <row r="12" spans="2:10" x14ac:dyDescent="0.25">
      <c r="G12" s="1" t="s">
        <v>87</v>
      </c>
    </row>
    <row r="13" spans="2:10" x14ac:dyDescent="0.25">
      <c r="F13" t="s">
        <v>19</v>
      </c>
      <c r="G13">
        <v>2</v>
      </c>
    </row>
    <row r="14" spans="2:10" x14ac:dyDescent="0.25">
      <c r="F14" t="s">
        <v>20</v>
      </c>
      <c r="G14">
        <v>30</v>
      </c>
    </row>
    <row r="15" spans="2:10" x14ac:dyDescent="0.25">
      <c r="G15">
        <f>+G13*G14</f>
        <v>60</v>
      </c>
    </row>
    <row r="18" spans="6:7" x14ac:dyDescent="0.25">
      <c r="F18" s="3"/>
      <c r="G18" s="3"/>
    </row>
  </sheetData>
  <mergeCells count="1">
    <mergeCell ref="B1:E1"/>
  </mergeCells>
  <pageMargins left="0.7" right="0.7" top="0.75" bottom="0.75" header="0.3" footer="0.3"/>
  <pageSetup paperSize="205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topLeftCell="B1" workbookViewId="0">
      <selection activeCell="K12" sqref="K12"/>
    </sheetView>
  </sheetViews>
  <sheetFormatPr baseColWidth="10" defaultRowHeight="15" x14ac:dyDescent="0.25"/>
  <cols>
    <col min="3" max="3" width="12.28515625" bestFit="1" customWidth="1"/>
    <col min="4" max="4" width="13.7109375" customWidth="1"/>
    <col min="5" max="5" width="9.7109375" bestFit="1" customWidth="1"/>
    <col min="6" max="6" width="6.5703125" customWidth="1"/>
    <col min="7" max="7" width="13" bestFit="1" customWidth="1"/>
    <col min="8" max="8" width="12.42578125" bestFit="1" customWidth="1"/>
    <col min="9" max="9" width="16.42578125" customWidth="1"/>
    <col min="10" max="10" width="11.7109375" bestFit="1" customWidth="1"/>
    <col min="11" max="11" width="8" bestFit="1" customWidth="1"/>
    <col min="12" max="12" width="9.7109375" bestFit="1" customWidth="1"/>
    <col min="13" max="13" width="10.5703125" bestFit="1" customWidth="1"/>
  </cols>
  <sheetData>
    <row r="2" spans="2:15" s="1" customFormat="1" x14ac:dyDescent="0.25">
      <c r="B2" s="1" t="s">
        <v>24</v>
      </c>
      <c r="C2" s="1" t="s">
        <v>23</v>
      </c>
      <c r="D2" s="1" t="s">
        <v>26</v>
      </c>
      <c r="E2" s="1" t="s">
        <v>3</v>
      </c>
      <c r="F2" s="1" t="s">
        <v>21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80</v>
      </c>
      <c r="O2" s="1" t="s">
        <v>83</v>
      </c>
    </row>
    <row r="3" spans="2:15" x14ac:dyDescent="0.25">
      <c r="B3">
        <v>1</v>
      </c>
      <c r="C3" t="s">
        <v>25</v>
      </c>
      <c r="D3">
        <v>500</v>
      </c>
      <c r="E3" t="s">
        <v>11</v>
      </c>
      <c r="F3" t="s">
        <v>22</v>
      </c>
      <c r="G3" t="s">
        <v>102</v>
      </c>
      <c r="H3" t="s">
        <v>103</v>
      </c>
      <c r="I3" t="s">
        <v>89</v>
      </c>
      <c r="J3" t="s">
        <v>65</v>
      </c>
    </row>
    <row r="4" spans="2:15" x14ac:dyDescent="0.25">
      <c r="B4">
        <v>2</v>
      </c>
      <c r="C4" t="s">
        <v>25</v>
      </c>
      <c r="D4">
        <v>500</v>
      </c>
      <c r="E4" t="s">
        <v>12</v>
      </c>
      <c r="F4" t="s">
        <v>22</v>
      </c>
      <c r="G4" t="s">
        <v>88</v>
      </c>
      <c r="H4" t="s">
        <v>28</v>
      </c>
      <c r="I4" s="17" t="s">
        <v>64</v>
      </c>
    </row>
    <row r="5" spans="2:15" x14ac:dyDescent="0.25">
      <c r="B5">
        <v>3</v>
      </c>
      <c r="C5" t="s">
        <v>25</v>
      </c>
      <c r="D5">
        <v>500</v>
      </c>
      <c r="E5" t="s">
        <v>68</v>
      </c>
      <c r="F5" t="s">
        <v>22</v>
      </c>
      <c r="G5" t="s">
        <v>63</v>
      </c>
      <c r="H5" t="s">
        <v>75</v>
      </c>
      <c r="I5" s="17" t="s">
        <v>90</v>
      </c>
      <c r="J5" t="s">
        <v>65</v>
      </c>
      <c r="K5" t="s">
        <v>91</v>
      </c>
      <c r="L5" t="s">
        <v>92</v>
      </c>
      <c r="M5">
        <v>1</v>
      </c>
      <c r="N5">
        <v>1</v>
      </c>
      <c r="O5">
        <v>1</v>
      </c>
    </row>
    <row r="6" spans="2:15" x14ac:dyDescent="0.25">
      <c r="B6">
        <v>4</v>
      </c>
      <c r="C6" s="17" t="s">
        <v>33</v>
      </c>
      <c r="D6">
        <v>500</v>
      </c>
      <c r="E6" t="s">
        <v>69</v>
      </c>
      <c r="F6" t="s">
        <v>22</v>
      </c>
      <c r="H6" t="s">
        <v>28</v>
      </c>
      <c r="I6" s="15" t="s">
        <v>66</v>
      </c>
      <c r="L6" s="17" t="s">
        <v>92</v>
      </c>
    </row>
    <row r="7" spans="2:15" ht="20.25" customHeight="1" x14ac:dyDescent="0.25">
      <c r="B7">
        <v>5</v>
      </c>
      <c r="C7" s="17" t="s">
        <v>33</v>
      </c>
      <c r="D7">
        <v>500</v>
      </c>
      <c r="E7" t="s">
        <v>70</v>
      </c>
      <c r="F7" t="s">
        <v>22</v>
      </c>
      <c r="H7" s="17" t="s">
        <v>28</v>
      </c>
      <c r="I7" s="15" t="s">
        <v>66</v>
      </c>
      <c r="L7" s="17" t="s">
        <v>92</v>
      </c>
    </row>
    <row r="8" spans="2:15" x14ac:dyDescent="0.25">
      <c r="B8">
        <v>6</v>
      </c>
      <c r="C8" t="s">
        <v>33</v>
      </c>
      <c r="D8">
        <v>400</v>
      </c>
      <c r="E8" t="s">
        <v>13</v>
      </c>
      <c r="F8" t="s">
        <v>22</v>
      </c>
      <c r="H8" t="s">
        <v>30</v>
      </c>
      <c r="I8" s="17" t="s">
        <v>66</v>
      </c>
      <c r="L8" s="17" t="s">
        <v>92</v>
      </c>
      <c r="M8">
        <v>1</v>
      </c>
      <c r="N8">
        <v>1</v>
      </c>
      <c r="O8">
        <v>1</v>
      </c>
    </row>
    <row r="9" spans="2:15" x14ac:dyDescent="0.25">
      <c r="B9">
        <v>7</v>
      </c>
      <c r="C9" t="s">
        <v>33</v>
      </c>
      <c r="D9">
        <v>400</v>
      </c>
      <c r="E9" t="s">
        <v>14</v>
      </c>
      <c r="F9" t="s">
        <v>22</v>
      </c>
      <c r="I9" t="s">
        <v>66</v>
      </c>
    </row>
    <row r="10" spans="2:15" x14ac:dyDescent="0.25">
      <c r="D10" s="32" t="s">
        <v>34</v>
      </c>
      <c r="E10" s="32"/>
      <c r="F10" s="32"/>
      <c r="G10" s="32"/>
      <c r="H10" s="32"/>
      <c r="I10" s="32"/>
      <c r="J10" s="32"/>
      <c r="K10" s="32"/>
      <c r="L10" s="32"/>
      <c r="M10" s="32"/>
    </row>
    <row r="11" spans="2:15" s="1" customFormat="1" x14ac:dyDescent="0.25">
      <c r="D11" s="31" t="s">
        <v>35</v>
      </c>
      <c r="E11" s="31"/>
      <c r="F11" s="31"/>
      <c r="G11" s="4" t="s">
        <v>38</v>
      </c>
      <c r="H11" s="4" t="s">
        <v>39</v>
      </c>
      <c r="I11" s="5" t="s">
        <v>16</v>
      </c>
      <c r="J11" s="4"/>
      <c r="K11" s="4" t="s">
        <v>93</v>
      </c>
      <c r="L11" s="4"/>
      <c r="M11" s="4"/>
    </row>
    <row r="12" spans="2:15" x14ac:dyDescent="0.25">
      <c r="D12" s="32" t="s">
        <v>36</v>
      </c>
      <c r="E12" s="32"/>
      <c r="F12" s="32"/>
      <c r="G12">
        <f>+COUNTIF(C3:C9,"12m")</f>
        <v>3</v>
      </c>
      <c r="I12" s="5">
        <f>SUM(G12:H12)</f>
        <v>3</v>
      </c>
      <c r="K12">
        <f>+I12+I13+I22+I23+I24+I25+I26+I27</f>
        <v>15</v>
      </c>
    </row>
    <row r="13" spans="2:15" x14ac:dyDescent="0.25">
      <c r="D13" s="32" t="s">
        <v>37</v>
      </c>
      <c r="E13" s="32"/>
      <c r="F13" s="32"/>
      <c r="G13">
        <f>+COUNTIF(C3:C9,"10m")</f>
        <v>4</v>
      </c>
      <c r="I13" s="5">
        <f t="shared" ref="I13:I31" si="0">SUM(G13:H13)</f>
        <v>4</v>
      </c>
    </row>
    <row r="14" spans="2:15" x14ac:dyDescent="0.25">
      <c r="D14" s="32" t="s">
        <v>63</v>
      </c>
      <c r="E14" s="32"/>
      <c r="F14" s="32"/>
      <c r="G14">
        <f>+COUNTIF($G$3:$G$9,"1CRT")</f>
        <v>1</v>
      </c>
      <c r="H14">
        <v>1</v>
      </c>
      <c r="I14" s="5">
        <f t="shared" si="0"/>
        <v>2</v>
      </c>
    </row>
    <row r="15" spans="2:15" x14ac:dyDescent="0.25">
      <c r="D15" s="32" t="s">
        <v>74</v>
      </c>
      <c r="E15" s="32"/>
      <c r="F15" s="32"/>
      <c r="G15">
        <f>+COUNTIF($G$3:$G$9,"1CPT")</f>
        <v>0</v>
      </c>
      <c r="H15">
        <v>1</v>
      </c>
      <c r="I15" s="5">
        <f t="shared" si="0"/>
        <v>1</v>
      </c>
    </row>
    <row r="16" spans="2:15" s="17" customFormat="1" x14ac:dyDescent="0.25">
      <c r="D16" s="32" t="s">
        <v>88</v>
      </c>
      <c r="E16" s="32"/>
      <c r="F16" s="32"/>
      <c r="G16" s="17">
        <f>+COUNTIF($G$3:$G$9,"1CAT")</f>
        <v>1</v>
      </c>
      <c r="I16" s="5">
        <f t="shared" si="0"/>
        <v>1</v>
      </c>
    </row>
    <row r="17" spans="4:9" x14ac:dyDescent="0.25">
      <c r="D17" s="32" t="s">
        <v>28</v>
      </c>
      <c r="E17" s="32"/>
      <c r="F17" s="32"/>
      <c r="G17">
        <f>+COUNTIF($H$3:$H$9,"1EP")</f>
        <v>3</v>
      </c>
      <c r="H17">
        <v>1</v>
      </c>
      <c r="I17" s="5">
        <f t="shared" si="0"/>
        <v>4</v>
      </c>
    </row>
    <row r="18" spans="4:9" x14ac:dyDescent="0.25">
      <c r="D18" s="32" t="s">
        <v>30</v>
      </c>
      <c r="E18" s="32"/>
      <c r="F18" s="32"/>
      <c r="G18">
        <f>+COUNTIF($H$3:$H$9,"1Er")</f>
        <v>1</v>
      </c>
      <c r="H18">
        <v>1</v>
      </c>
      <c r="I18" s="5">
        <f t="shared" si="0"/>
        <v>2</v>
      </c>
    </row>
    <row r="19" spans="4:9" hidden="1" x14ac:dyDescent="0.25">
      <c r="D19" s="32" t="s">
        <v>27</v>
      </c>
      <c r="E19" s="32"/>
      <c r="F19" s="32"/>
      <c r="G19">
        <f>+COUNTIF($H$3:$H$9,"1EP+1er")</f>
        <v>0</v>
      </c>
      <c r="I19" s="5">
        <f t="shared" si="0"/>
        <v>0</v>
      </c>
    </row>
    <row r="20" spans="4:9" hidden="1" x14ac:dyDescent="0.25">
      <c r="D20" s="32" t="s">
        <v>67</v>
      </c>
      <c r="E20" s="32"/>
      <c r="F20" s="32"/>
      <c r="G20">
        <f>+COUNTIF($H$3:$H$9,"1PR3e+1ER")</f>
        <v>0</v>
      </c>
      <c r="I20" s="5">
        <f t="shared" si="0"/>
        <v>0</v>
      </c>
    </row>
    <row r="21" spans="4:9" x14ac:dyDescent="0.25">
      <c r="D21" s="32" t="s">
        <v>75</v>
      </c>
      <c r="E21" s="32"/>
      <c r="F21" s="32"/>
      <c r="G21">
        <f>+COUNTIF($H$3:$H$9,"1ED")</f>
        <v>1</v>
      </c>
      <c r="I21" s="5">
        <f t="shared" si="0"/>
        <v>1</v>
      </c>
    </row>
    <row r="22" spans="4:9" x14ac:dyDescent="0.25">
      <c r="D22" s="32" t="s">
        <v>64</v>
      </c>
      <c r="E22" s="32"/>
      <c r="F22" s="32"/>
      <c r="G22">
        <f>+COUNTIF($I$3:$I$9,"TAT-0TS")</f>
        <v>1</v>
      </c>
      <c r="H22">
        <v>1</v>
      </c>
      <c r="I22" s="5">
        <f t="shared" si="0"/>
        <v>2</v>
      </c>
    </row>
    <row r="23" spans="4:9" x14ac:dyDescent="0.25">
      <c r="D23" s="32" t="s">
        <v>66</v>
      </c>
      <c r="E23" s="32"/>
      <c r="F23" s="32"/>
      <c r="G23">
        <f>+COUNTIF($I$3:$I$9,"TAD-0TS")</f>
        <v>4</v>
      </c>
      <c r="H23">
        <v>1</v>
      </c>
      <c r="I23" s="5">
        <f t="shared" si="0"/>
        <v>5</v>
      </c>
    </row>
    <row r="24" spans="4:9" x14ac:dyDescent="0.25">
      <c r="D24" s="32" t="s">
        <v>76</v>
      </c>
      <c r="E24" s="32"/>
      <c r="F24" s="32"/>
      <c r="G24">
        <f>+COUNTIF($I$3:$I$9,"TAT-0PD")</f>
        <v>0</v>
      </c>
      <c r="I24" s="5">
        <f t="shared" si="0"/>
        <v>0</v>
      </c>
    </row>
    <row r="25" spans="4:9" s="17" customFormat="1" x14ac:dyDescent="0.25">
      <c r="D25" s="32" t="s">
        <v>89</v>
      </c>
      <c r="E25" s="32"/>
      <c r="F25" s="32"/>
      <c r="G25" s="17">
        <f>+COUNTIF($I$3:$I$9,"TAT-0PS")</f>
        <v>1</v>
      </c>
      <c r="I25" s="5">
        <f t="shared" si="0"/>
        <v>1</v>
      </c>
    </row>
    <row r="26" spans="4:9" x14ac:dyDescent="0.25">
      <c r="D26" s="32" t="s">
        <v>77</v>
      </c>
      <c r="E26" s="32"/>
      <c r="F26" s="32"/>
      <c r="G26">
        <f>+COUNTIF($I$3:$I$9,"TAD-0FS")</f>
        <v>0</v>
      </c>
      <c r="I26" s="5">
        <f t="shared" si="0"/>
        <v>0</v>
      </c>
    </row>
    <row r="27" spans="4:9" x14ac:dyDescent="0.25">
      <c r="D27" s="32" t="s">
        <v>78</v>
      </c>
      <c r="E27" s="32"/>
      <c r="F27" s="32"/>
      <c r="G27">
        <f>+COUNTIF($I$3:$I$9,"TAT-0TD")</f>
        <v>0</v>
      </c>
      <c r="I27" s="5">
        <f t="shared" si="0"/>
        <v>0</v>
      </c>
    </row>
    <row r="28" spans="4:9" x14ac:dyDescent="0.25">
      <c r="D28" s="32" t="s">
        <v>56</v>
      </c>
      <c r="E28" s="32"/>
      <c r="F28" s="32"/>
      <c r="G28">
        <f>+COUNTIF($J$3:$J$9,"1 secc")</f>
        <v>2</v>
      </c>
      <c r="I28" s="5">
        <f t="shared" si="0"/>
        <v>2</v>
      </c>
    </row>
    <row r="29" spans="4:9" x14ac:dyDescent="0.25">
      <c r="D29" s="32" t="s">
        <v>71</v>
      </c>
      <c r="E29" s="32"/>
      <c r="F29" s="32"/>
      <c r="G29">
        <f>+COUNTIF($K$3:$K$9,"25 kVA")</f>
        <v>0</v>
      </c>
      <c r="I29" s="5">
        <f t="shared" si="0"/>
        <v>0</v>
      </c>
    </row>
    <row r="30" spans="4:9" s="17" customFormat="1" x14ac:dyDescent="0.25">
      <c r="D30" s="32" t="s">
        <v>97</v>
      </c>
      <c r="E30" s="32"/>
      <c r="F30" s="32"/>
      <c r="G30" s="17">
        <f>+COUNTIF($K$3:$K$9,"10 kVA")</f>
        <v>1</v>
      </c>
      <c r="I30" s="5">
        <f t="shared" ref="I30" si="1">SUM(G30:H30)</f>
        <v>1</v>
      </c>
    </row>
    <row r="31" spans="4:9" x14ac:dyDescent="0.25">
      <c r="D31" s="32" t="s">
        <v>92</v>
      </c>
      <c r="E31" s="32"/>
      <c r="F31" s="32"/>
      <c r="G31">
        <f>+COUNTIF($L$3:$L$9,"110W")</f>
        <v>4</v>
      </c>
      <c r="I31" s="5">
        <f t="shared" si="0"/>
        <v>4</v>
      </c>
    </row>
    <row r="32" spans="4:9" hidden="1" x14ac:dyDescent="0.25">
      <c r="D32" s="32" t="s">
        <v>29</v>
      </c>
      <c r="E32" s="32"/>
      <c r="F32" s="32"/>
      <c r="G32">
        <f>+COUNTIF($L$3:$L$9,"2(110W)")</f>
        <v>0</v>
      </c>
    </row>
    <row r="33" spans="4:9" x14ac:dyDescent="0.25">
      <c r="D33" s="32" t="s">
        <v>81</v>
      </c>
      <c r="E33" s="32"/>
      <c r="F33" s="32"/>
      <c r="G33">
        <f>+SUM(N3:N9)</f>
        <v>2</v>
      </c>
      <c r="I33" s="5">
        <f>+G33+H33</f>
        <v>2</v>
      </c>
    </row>
    <row r="34" spans="4:9" x14ac:dyDescent="0.25">
      <c r="D34" s="32" t="s">
        <v>82</v>
      </c>
      <c r="E34" s="32"/>
      <c r="F34" s="32"/>
      <c r="G34">
        <f>+SUM(M3:M9)</f>
        <v>2</v>
      </c>
      <c r="I34" s="5">
        <f t="shared" ref="I34:I35" si="2">SUM(G34:H34)</f>
        <v>2</v>
      </c>
    </row>
    <row r="35" spans="4:9" x14ac:dyDescent="0.25">
      <c r="D35" s="32" t="s">
        <v>84</v>
      </c>
      <c r="E35" s="32"/>
      <c r="F35" s="32"/>
      <c r="G35">
        <f>+SUM(O3:O9)</f>
        <v>2</v>
      </c>
      <c r="I35" s="5">
        <f t="shared" si="2"/>
        <v>2</v>
      </c>
    </row>
  </sheetData>
  <mergeCells count="26">
    <mergeCell ref="D15:F15"/>
    <mergeCell ref="D21:F21"/>
    <mergeCell ref="D14:F14"/>
    <mergeCell ref="D10:M10"/>
    <mergeCell ref="D12:F12"/>
    <mergeCell ref="D11:F11"/>
    <mergeCell ref="D13:F13"/>
    <mergeCell ref="D16:F16"/>
    <mergeCell ref="D22:F22"/>
    <mergeCell ref="D23:F23"/>
    <mergeCell ref="D28:F28"/>
    <mergeCell ref="D17:F17"/>
    <mergeCell ref="D18:F18"/>
    <mergeCell ref="D19:F19"/>
    <mergeCell ref="D20:F20"/>
    <mergeCell ref="D24:F24"/>
    <mergeCell ref="D26:F26"/>
    <mergeCell ref="D27:F27"/>
    <mergeCell ref="D25:F25"/>
    <mergeCell ref="D33:F33"/>
    <mergeCell ref="D34:F34"/>
    <mergeCell ref="D35:F35"/>
    <mergeCell ref="D29:F29"/>
    <mergeCell ref="D31:F31"/>
    <mergeCell ref="D32:F32"/>
    <mergeCell ref="D30:F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41"/>
  <sheetViews>
    <sheetView tabSelected="1" view="pageBreakPreview" topLeftCell="A4" zoomScale="85" zoomScaleNormal="70" zoomScaleSheetLayoutView="85" workbookViewId="0">
      <selection activeCell="F17" sqref="F17"/>
    </sheetView>
  </sheetViews>
  <sheetFormatPr baseColWidth="10" defaultRowHeight="15" x14ac:dyDescent="0.25"/>
  <cols>
    <col min="1" max="1" width="16.5703125" customWidth="1"/>
    <col min="3" max="3" width="99.42578125" customWidth="1"/>
    <col min="4" max="4" width="9.42578125" customWidth="1"/>
    <col min="5" max="5" width="9.5703125" customWidth="1"/>
    <col min="6" max="6" width="14.5703125" bestFit="1" customWidth="1"/>
    <col min="7" max="7" width="16" bestFit="1" customWidth="1"/>
    <col min="8" max="8" width="19.5703125" bestFit="1" customWidth="1"/>
    <col min="9" max="9" width="15.7109375" bestFit="1" customWidth="1"/>
  </cols>
  <sheetData>
    <row r="3" spans="2:13" x14ac:dyDescent="0.25">
      <c r="B3" s="31" t="s">
        <v>100</v>
      </c>
      <c r="C3" s="31"/>
      <c r="D3" s="31"/>
      <c r="E3" s="31"/>
      <c r="F3" s="31"/>
      <c r="G3" s="31"/>
      <c r="H3" s="31"/>
      <c r="I3" s="31"/>
      <c r="J3" s="6"/>
      <c r="K3" s="6"/>
      <c r="L3" s="6"/>
      <c r="M3" s="6"/>
    </row>
    <row r="4" spans="2:13" x14ac:dyDescent="0.25">
      <c r="B4" s="30" t="s">
        <v>109</v>
      </c>
    </row>
    <row r="5" spans="2:13" x14ac:dyDescent="0.25">
      <c r="B5" s="7" t="s">
        <v>42</v>
      </c>
      <c r="C5" s="7" t="s">
        <v>35</v>
      </c>
      <c r="D5" s="7" t="s">
        <v>47</v>
      </c>
      <c r="E5" s="7" t="s">
        <v>45</v>
      </c>
      <c r="F5" s="7" t="s">
        <v>48</v>
      </c>
      <c r="G5" s="7" t="s">
        <v>49</v>
      </c>
      <c r="H5" s="7" t="s">
        <v>43</v>
      </c>
      <c r="I5" s="7" t="s">
        <v>50</v>
      </c>
    </row>
    <row r="6" spans="2:13" x14ac:dyDescent="0.25">
      <c r="B6" s="8">
        <v>1</v>
      </c>
      <c r="C6" s="8" t="s">
        <v>44</v>
      </c>
      <c r="D6" s="8" t="s">
        <v>46</v>
      </c>
      <c r="E6" s="9">
        <f>+CONDUCTOR!E10</f>
        <v>334.95</v>
      </c>
      <c r="F6" s="19">
        <v>0.85</v>
      </c>
      <c r="G6" s="20">
        <f>+E6*F6</f>
        <v>284.70749999999998</v>
      </c>
      <c r="H6" s="8">
        <v>0.97</v>
      </c>
      <c r="I6" s="9">
        <f>+H6*E6</f>
        <v>324.9015</v>
      </c>
      <c r="J6" s="27">
        <f>+E6/2</f>
        <v>167.47499999999999</v>
      </c>
    </row>
    <row r="7" spans="2:13" x14ac:dyDescent="0.25">
      <c r="B7" s="8">
        <v>2</v>
      </c>
      <c r="C7" s="8" t="s">
        <v>101</v>
      </c>
      <c r="D7" s="8" t="s">
        <v>46</v>
      </c>
      <c r="E7" s="9">
        <f>+CONDUCTOR!F10</f>
        <v>186.76</v>
      </c>
      <c r="F7" s="19">
        <v>4.38</v>
      </c>
      <c r="G7" s="20">
        <f t="shared" ref="G7:G27" si="0">+E7*F7</f>
        <v>818.00879999999995</v>
      </c>
      <c r="H7" s="8">
        <v>1.54</v>
      </c>
      <c r="I7" s="9">
        <f t="shared" ref="I7:I27" si="1">+H7*E7</f>
        <v>287.61039999999997</v>
      </c>
    </row>
    <row r="8" spans="2:13" x14ac:dyDescent="0.25">
      <c r="B8" s="8">
        <v>3</v>
      </c>
      <c r="C8" s="8" t="s">
        <v>51</v>
      </c>
      <c r="D8" s="8" t="s">
        <v>53</v>
      </c>
      <c r="E8" s="8">
        <f>+ESTRUCTURAS!I12</f>
        <v>3</v>
      </c>
      <c r="F8" s="19">
        <v>875.75</v>
      </c>
      <c r="G8" s="20">
        <f t="shared" si="0"/>
        <v>2627.25</v>
      </c>
      <c r="H8" s="8">
        <v>122.9</v>
      </c>
      <c r="I8" s="9">
        <f t="shared" si="1"/>
        <v>368.70000000000005</v>
      </c>
    </row>
    <row r="9" spans="2:13" x14ac:dyDescent="0.25">
      <c r="B9" s="8">
        <v>4</v>
      </c>
      <c r="C9" s="8" t="s">
        <v>52</v>
      </c>
      <c r="D9" s="8" t="s">
        <v>53</v>
      </c>
      <c r="E9" s="8">
        <f>+ESTRUCTURAS!I13</f>
        <v>4</v>
      </c>
      <c r="F9" s="19">
        <v>740.15</v>
      </c>
      <c r="G9" s="20">
        <f t="shared" si="0"/>
        <v>2960.6</v>
      </c>
      <c r="H9" s="8">
        <v>122.9</v>
      </c>
      <c r="I9" s="9">
        <f t="shared" si="1"/>
        <v>491.6</v>
      </c>
    </row>
    <row r="10" spans="2:13" s="13" customFormat="1" x14ac:dyDescent="0.25">
      <c r="B10" s="18">
        <v>7</v>
      </c>
      <c r="C10" s="11" t="s">
        <v>72</v>
      </c>
      <c r="D10" s="11" t="s">
        <v>53</v>
      </c>
      <c r="E10" s="11">
        <f>+ESTRUCTURAS!I14</f>
        <v>2</v>
      </c>
      <c r="F10" s="21">
        <v>47.16</v>
      </c>
      <c r="G10" s="22">
        <f t="shared" si="0"/>
        <v>94.32</v>
      </c>
      <c r="H10" s="11">
        <v>27.08</v>
      </c>
      <c r="I10" s="12">
        <f t="shared" si="1"/>
        <v>54.16</v>
      </c>
    </row>
    <row r="11" spans="2:13" s="13" customFormat="1" x14ac:dyDescent="0.25">
      <c r="B11" s="18">
        <v>8</v>
      </c>
      <c r="C11" s="11" t="s">
        <v>94</v>
      </c>
      <c r="D11" s="11" t="s">
        <v>53</v>
      </c>
      <c r="E11" s="11">
        <f>+ESTRUCTURAS!I16</f>
        <v>1</v>
      </c>
      <c r="F11" s="21">
        <v>41.12</v>
      </c>
      <c r="G11" s="22">
        <f t="shared" si="0"/>
        <v>41.12</v>
      </c>
      <c r="H11" s="12">
        <v>27.074999999999999</v>
      </c>
      <c r="I11" s="12">
        <f t="shared" si="1"/>
        <v>27.074999999999999</v>
      </c>
    </row>
    <row r="12" spans="2:13" s="13" customFormat="1" x14ac:dyDescent="0.25">
      <c r="B12" s="18">
        <v>10</v>
      </c>
      <c r="C12" s="11" t="s">
        <v>104</v>
      </c>
      <c r="D12" s="11" t="s">
        <v>53</v>
      </c>
      <c r="E12" s="11">
        <f>+ESTRUCTURAS!I15</f>
        <v>1</v>
      </c>
      <c r="F12" s="21">
        <v>31.58</v>
      </c>
      <c r="G12" s="22">
        <f t="shared" si="0"/>
        <v>31.58</v>
      </c>
      <c r="H12" s="11">
        <v>21.66</v>
      </c>
      <c r="I12" s="12">
        <f t="shared" si="1"/>
        <v>21.66</v>
      </c>
    </row>
    <row r="13" spans="2:13" x14ac:dyDescent="0.25">
      <c r="B13" s="18">
        <v>11</v>
      </c>
      <c r="C13" s="8" t="s">
        <v>54</v>
      </c>
      <c r="D13" s="8" t="s">
        <v>53</v>
      </c>
      <c r="E13" s="8">
        <f>+ESTRUCTURAS!I17</f>
        <v>4</v>
      </c>
      <c r="F13" s="19">
        <v>20.059999999999999</v>
      </c>
      <c r="G13" s="20">
        <f t="shared" si="0"/>
        <v>80.239999999999995</v>
      </c>
      <c r="H13" s="8">
        <v>16.829999999999998</v>
      </c>
      <c r="I13" s="9">
        <f t="shared" si="1"/>
        <v>67.319999999999993</v>
      </c>
    </row>
    <row r="14" spans="2:13" x14ac:dyDescent="0.25">
      <c r="B14" s="18">
        <v>12</v>
      </c>
      <c r="C14" s="8" t="s">
        <v>55</v>
      </c>
      <c r="D14" s="8" t="s">
        <v>53</v>
      </c>
      <c r="E14" s="8">
        <f>+ESTRUCTURAS!I18</f>
        <v>2</v>
      </c>
      <c r="F14" s="19">
        <v>14.93</v>
      </c>
      <c r="G14" s="20">
        <f t="shared" si="0"/>
        <v>29.86</v>
      </c>
      <c r="H14" s="8">
        <v>21.04</v>
      </c>
      <c r="I14" s="9">
        <f t="shared" si="1"/>
        <v>42.08</v>
      </c>
    </row>
    <row r="15" spans="2:13" x14ac:dyDescent="0.25">
      <c r="B15" s="18">
        <v>13</v>
      </c>
      <c r="C15" s="11" t="s">
        <v>79</v>
      </c>
      <c r="D15" s="8" t="s">
        <v>53</v>
      </c>
      <c r="E15" s="8">
        <f>+ESTRUCTURAS!I21</f>
        <v>1</v>
      </c>
      <c r="F15" s="19">
        <v>27.55</v>
      </c>
      <c r="G15" s="20">
        <f t="shared" si="0"/>
        <v>27.55</v>
      </c>
      <c r="H15" s="8">
        <v>42.08</v>
      </c>
      <c r="I15" s="9">
        <f t="shared" si="1"/>
        <v>42.08</v>
      </c>
    </row>
    <row r="16" spans="2:13" s="13" customFormat="1" x14ac:dyDescent="0.25">
      <c r="B16" s="18">
        <v>14</v>
      </c>
      <c r="C16" s="11" t="s">
        <v>110</v>
      </c>
      <c r="D16" s="11" t="s">
        <v>53</v>
      </c>
      <c r="E16" s="11">
        <f>+ESTRUCTURAS!I23</f>
        <v>5</v>
      </c>
      <c r="F16" s="21">
        <v>60.61</v>
      </c>
      <c r="G16" s="22">
        <f t="shared" si="0"/>
        <v>303.05</v>
      </c>
      <c r="H16" s="11">
        <v>25.66</v>
      </c>
      <c r="I16" s="12">
        <f t="shared" si="1"/>
        <v>128.30000000000001</v>
      </c>
    </row>
    <row r="17" spans="2:13" s="13" customFormat="1" x14ac:dyDescent="0.25">
      <c r="B17" s="18">
        <v>17</v>
      </c>
      <c r="C17" s="11" t="s">
        <v>95</v>
      </c>
      <c r="D17" s="11" t="s">
        <v>53</v>
      </c>
      <c r="E17" s="11">
        <f>+ESTRUCTURAS!I25</f>
        <v>1</v>
      </c>
      <c r="F17" s="21">
        <v>60.01</v>
      </c>
      <c r="G17" s="22">
        <f t="shared" si="0"/>
        <v>60.01</v>
      </c>
      <c r="H17" s="11">
        <v>27.66</v>
      </c>
      <c r="I17" s="12">
        <f t="shared" si="1"/>
        <v>27.66</v>
      </c>
    </row>
    <row r="18" spans="2:13" s="13" customFormat="1" x14ac:dyDescent="0.25">
      <c r="B18" s="18">
        <v>19</v>
      </c>
      <c r="C18" s="11" t="s">
        <v>105</v>
      </c>
      <c r="D18" s="11" t="s">
        <v>53</v>
      </c>
      <c r="E18" s="11">
        <f>+ESTRUCTURAS!I22</f>
        <v>2</v>
      </c>
      <c r="F18" s="21">
        <v>69.489999999999995</v>
      </c>
      <c r="G18" s="22">
        <f t="shared" si="0"/>
        <v>138.97999999999999</v>
      </c>
      <c r="H18" s="11">
        <v>32.08</v>
      </c>
      <c r="I18" s="12">
        <f t="shared" si="1"/>
        <v>64.16</v>
      </c>
    </row>
    <row r="19" spans="2:13" s="13" customFormat="1" x14ac:dyDescent="0.25">
      <c r="B19" s="18">
        <v>20</v>
      </c>
      <c r="C19" s="11" t="s">
        <v>111</v>
      </c>
      <c r="D19" s="11" t="s">
        <v>53</v>
      </c>
      <c r="E19" s="11">
        <f>+ESTRUCTURAS!I28-E20</f>
        <v>1</v>
      </c>
      <c r="F19" s="21">
        <v>264.35000000000002</v>
      </c>
      <c r="G19" s="22">
        <f t="shared" si="0"/>
        <v>264.35000000000002</v>
      </c>
      <c r="H19" s="11">
        <v>66.23</v>
      </c>
      <c r="I19" s="12">
        <f t="shared" si="1"/>
        <v>66.23</v>
      </c>
    </row>
    <row r="20" spans="2:13" s="13" customFormat="1" x14ac:dyDescent="0.25">
      <c r="B20" s="18">
        <v>21</v>
      </c>
      <c r="C20" s="11" t="s">
        <v>112</v>
      </c>
      <c r="D20" s="11" t="s">
        <v>53</v>
      </c>
      <c r="E20" s="11">
        <v>1</v>
      </c>
      <c r="F20" s="21">
        <f>264.35-63.28</f>
        <v>201.07000000000002</v>
      </c>
      <c r="G20" s="22">
        <f t="shared" si="0"/>
        <v>201.07000000000002</v>
      </c>
      <c r="H20" s="11">
        <f>66.23-15.66</f>
        <v>50.570000000000007</v>
      </c>
      <c r="I20" s="12">
        <f t="shared" si="1"/>
        <v>50.570000000000007</v>
      </c>
    </row>
    <row r="21" spans="2:13" s="13" customFormat="1" x14ac:dyDescent="0.25">
      <c r="B21" s="18">
        <v>23</v>
      </c>
      <c r="C21" s="11" t="s">
        <v>96</v>
      </c>
      <c r="D21" s="11" t="s">
        <v>53</v>
      </c>
      <c r="E21" s="11">
        <f>+ESTRUCTURAS!I30</f>
        <v>1</v>
      </c>
      <c r="F21" s="21">
        <v>1317.87</v>
      </c>
      <c r="G21" s="22">
        <f t="shared" si="0"/>
        <v>1317.87</v>
      </c>
      <c r="H21" s="12">
        <v>92.9</v>
      </c>
      <c r="I21" s="12">
        <f t="shared" si="1"/>
        <v>92.9</v>
      </c>
    </row>
    <row r="22" spans="2:13" s="13" customFormat="1" x14ac:dyDescent="0.25">
      <c r="B22" s="18">
        <v>24</v>
      </c>
      <c r="C22" s="11" t="s">
        <v>106</v>
      </c>
      <c r="D22" s="11" t="s">
        <v>53</v>
      </c>
      <c r="E22" s="11">
        <f>+ESTRUCTURAS!I31</f>
        <v>4</v>
      </c>
      <c r="F22" s="21">
        <v>453.5</v>
      </c>
      <c r="G22" s="22">
        <f t="shared" si="0"/>
        <v>1814</v>
      </c>
      <c r="H22" s="11">
        <v>39.15</v>
      </c>
      <c r="I22" s="12">
        <f t="shared" si="1"/>
        <v>156.6</v>
      </c>
    </row>
    <row r="23" spans="2:13" x14ac:dyDescent="0.25">
      <c r="B23" s="18">
        <v>25</v>
      </c>
      <c r="C23" s="8" t="s">
        <v>57</v>
      </c>
      <c r="D23" s="8" t="s">
        <v>53</v>
      </c>
      <c r="E23" s="8">
        <f>+E19+E20</f>
        <v>2</v>
      </c>
      <c r="F23" s="19">
        <v>591.11</v>
      </c>
      <c r="G23" s="20">
        <f t="shared" si="0"/>
        <v>1182.22</v>
      </c>
      <c r="H23" s="8">
        <v>84.15</v>
      </c>
      <c r="I23" s="9">
        <f t="shared" si="1"/>
        <v>168.3</v>
      </c>
    </row>
    <row r="24" spans="2:13" s="13" customFormat="1" x14ac:dyDescent="0.25">
      <c r="B24" s="18">
        <v>26</v>
      </c>
      <c r="C24" s="14" t="s">
        <v>73</v>
      </c>
      <c r="D24" s="11" t="s">
        <v>53</v>
      </c>
      <c r="E24" s="11">
        <f>+ESTRUCTURAS!I34</f>
        <v>2</v>
      </c>
      <c r="F24" s="21">
        <v>126.52</v>
      </c>
      <c r="G24" s="22">
        <f t="shared" si="0"/>
        <v>253.04</v>
      </c>
      <c r="H24" s="11">
        <v>44.15</v>
      </c>
      <c r="I24" s="12">
        <f t="shared" si="1"/>
        <v>88.3</v>
      </c>
    </row>
    <row r="25" spans="2:13" x14ac:dyDescent="0.25">
      <c r="B25" s="18">
        <v>27</v>
      </c>
      <c r="C25" s="8" t="s">
        <v>58</v>
      </c>
      <c r="D25" s="8" t="s">
        <v>53</v>
      </c>
      <c r="E25" s="8">
        <f>+ESTRUCTURAS!K12</f>
        <v>15</v>
      </c>
      <c r="F25" s="19" t="s">
        <v>86</v>
      </c>
      <c r="G25" s="22" t="s">
        <v>86</v>
      </c>
      <c r="H25" s="8">
        <v>184.15</v>
      </c>
      <c r="I25" s="9">
        <f t="shared" si="1"/>
        <v>2762.25</v>
      </c>
    </row>
    <row r="26" spans="2:13" x14ac:dyDescent="0.25">
      <c r="B26" s="18">
        <v>28</v>
      </c>
      <c r="C26" s="8" t="s">
        <v>59</v>
      </c>
      <c r="D26" s="8" t="s">
        <v>53</v>
      </c>
      <c r="E26" s="8">
        <f>+E23</f>
        <v>2</v>
      </c>
      <c r="F26" s="19" t="s">
        <v>86</v>
      </c>
      <c r="G26" s="22" t="s">
        <v>86</v>
      </c>
      <c r="H26" s="8">
        <v>192.9</v>
      </c>
      <c r="I26" s="9">
        <f t="shared" si="1"/>
        <v>385.8</v>
      </c>
    </row>
    <row r="27" spans="2:13" x14ac:dyDescent="0.25">
      <c r="B27" s="18">
        <v>29</v>
      </c>
      <c r="C27" s="11" t="s">
        <v>85</v>
      </c>
      <c r="D27" s="8" t="s">
        <v>53</v>
      </c>
      <c r="E27" s="8">
        <f>+ESTRUCTURAS!I35</f>
        <v>2</v>
      </c>
      <c r="F27" s="19">
        <v>7.88</v>
      </c>
      <c r="G27" s="22">
        <f t="shared" si="0"/>
        <v>15.76</v>
      </c>
      <c r="H27" s="8">
        <v>7.45</v>
      </c>
      <c r="I27" s="9">
        <f t="shared" si="1"/>
        <v>14.9</v>
      </c>
    </row>
    <row r="28" spans="2:13" s="17" customFormat="1" x14ac:dyDescent="0.25">
      <c r="B28" s="18">
        <v>34</v>
      </c>
      <c r="C28" s="18" t="s">
        <v>98</v>
      </c>
      <c r="D28" s="18" t="s">
        <v>99</v>
      </c>
      <c r="E28" s="18">
        <v>0.23</v>
      </c>
      <c r="F28" s="19" t="s">
        <v>86</v>
      </c>
      <c r="G28" s="20" t="s">
        <v>86</v>
      </c>
      <c r="H28" s="18">
        <v>496.6</v>
      </c>
      <c r="I28" s="9">
        <f t="shared" ref="I28:I29" si="2">+E28*H28</f>
        <v>114.218</v>
      </c>
      <c r="J28" s="27"/>
      <c r="K28" s="27"/>
      <c r="L28" s="28"/>
      <c r="M28" s="27"/>
    </row>
    <row r="29" spans="2:13" s="17" customFormat="1" x14ac:dyDescent="0.25">
      <c r="B29" s="18">
        <v>36</v>
      </c>
      <c r="C29" s="18" t="s">
        <v>108</v>
      </c>
      <c r="D29" s="18" t="s">
        <v>53</v>
      </c>
      <c r="E29" s="18">
        <f>+E24</f>
        <v>2</v>
      </c>
      <c r="F29" s="19">
        <v>49.2</v>
      </c>
      <c r="G29" s="20">
        <f>+E29*F29</f>
        <v>98.4</v>
      </c>
      <c r="H29" s="18">
        <v>40.31</v>
      </c>
      <c r="I29" s="9">
        <f t="shared" si="2"/>
        <v>80.62</v>
      </c>
      <c r="J29" s="27"/>
      <c r="K29" s="27"/>
      <c r="L29" s="28"/>
      <c r="M29" s="27"/>
    </row>
    <row r="30" spans="2:13" x14ac:dyDescent="0.25">
      <c r="F30" s="23"/>
      <c r="G30" s="23"/>
      <c r="H30" s="7" t="s">
        <v>49</v>
      </c>
      <c r="I30" s="10">
        <f>SUM(G6:G29)</f>
        <v>12643.986299999999</v>
      </c>
      <c r="J30" s="27"/>
      <c r="K30" s="27"/>
      <c r="L30" s="27"/>
      <c r="M30" s="27"/>
    </row>
    <row r="31" spans="2:13" x14ac:dyDescent="0.25">
      <c r="H31" s="7" t="s">
        <v>60</v>
      </c>
      <c r="I31" s="10">
        <f>SUM(I6:I29)</f>
        <v>5927.9949000000006</v>
      </c>
      <c r="J31" s="27"/>
      <c r="K31" s="27"/>
      <c r="L31" s="27"/>
      <c r="M31" s="27"/>
    </row>
    <row r="32" spans="2:13" x14ac:dyDescent="0.25">
      <c r="H32" s="7" t="s">
        <v>61</v>
      </c>
      <c r="I32" s="10">
        <f>+I30+I31</f>
        <v>18571.981199999998</v>
      </c>
      <c r="J32" s="27"/>
      <c r="K32" s="28"/>
      <c r="L32" s="27"/>
      <c r="M32" s="27"/>
    </row>
    <row r="33" spans="7:13" x14ac:dyDescent="0.25">
      <c r="H33" s="7" t="s">
        <v>62</v>
      </c>
      <c r="I33" s="10">
        <f>+I32*0.12</f>
        <v>2228.6377439999997</v>
      </c>
      <c r="J33" s="27"/>
      <c r="K33" s="27"/>
      <c r="L33" s="27"/>
      <c r="M33" s="27"/>
    </row>
    <row r="34" spans="7:13" x14ac:dyDescent="0.25">
      <c r="H34" s="7" t="s">
        <v>32</v>
      </c>
      <c r="I34" s="10">
        <f>+I32+I33</f>
        <v>20800.618943999998</v>
      </c>
      <c r="J34" s="27"/>
      <c r="K34" s="27"/>
      <c r="L34" s="27"/>
      <c r="M34" s="27"/>
    </row>
    <row r="35" spans="7:13" x14ac:dyDescent="0.25">
      <c r="J35" s="27"/>
      <c r="K35" s="27"/>
      <c r="L35" s="27"/>
      <c r="M35" s="27"/>
    </row>
    <row r="36" spans="7:13" x14ac:dyDescent="0.25">
      <c r="G36" s="24"/>
      <c r="H36" s="16"/>
      <c r="I36" s="25"/>
      <c r="J36" s="29">
        <f>+I32-I36</f>
        <v>18571.981199999998</v>
      </c>
      <c r="K36" s="27"/>
      <c r="L36" s="27">
        <f>+J36/39.15</f>
        <v>474.38010727969345</v>
      </c>
      <c r="M36" s="27"/>
    </row>
    <row r="37" spans="7:13" x14ac:dyDescent="0.25">
      <c r="G37" s="24"/>
      <c r="H37" s="16"/>
      <c r="I37" s="26"/>
      <c r="J37" s="27"/>
      <c r="K37" s="27"/>
      <c r="L37" s="27"/>
      <c r="M37" s="27"/>
    </row>
    <row r="38" spans="7:13" x14ac:dyDescent="0.25">
      <c r="G38" s="24"/>
      <c r="H38" s="24"/>
      <c r="I38" s="24"/>
      <c r="J38" s="27"/>
      <c r="K38" s="27"/>
      <c r="L38" s="27">
        <f>+J36/6.22</f>
        <v>2985.8490675241155</v>
      </c>
      <c r="M38" s="27"/>
    </row>
    <row r="39" spans="7:13" x14ac:dyDescent="0.25">
      <c r="J39" s="27"/>
      <c r="K39" s="27"/>
      <c r="L39" s="27"/>
      <c r="M39" s="27"/>
    </row>
    <row r="40" spans="7:13" x14ac:dyDescent="0.25">
      <c r="J40" s="27"/>
      <c r="K40" s="27"/>
      <c r="L40" s="27"/>
      <c r="M40" s="27"/>
    </row>
    <row r="41" spans="7:13" x14ac:dyDescent="0.25">
      <c r="J41" s="27"/>
      <c r="K41" s="27"/>
      <c r="L41" s="27"/>
      <c r="M41" s="27"/>
    </row>
  </sheetData>
  <mergeCells count="1">
    <mergeCell ref="B3:I3"/>
  </mergeCells>
  <pageMargins left="0.7" right="0.7" top="0.75" bottom="0.75" header="0.3" footer="0.3"/>
  <pageSetup scale="62" orientation="landscape" r:id="rId1"/>
  <colBreaks count="1" manualBreakCount="1">
    <brk id="9" min="2" max="37" man="1"/>
  </colBreaks>
  <ignoredErrors>
    <ignoredError sqref="I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CONDUCTOR</vt:lpstr>
      <vt:lpstr>ESTRUCTURAS</vt:lpstr>
      <vt:lpstr>MATERIALES</vt:lpstr>
      <vt:lpstr>MATERIALES!Área_de_impresión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GL. Lozano</dc:creator>
  <cp:lastModifiedBy>TOBIAS VERDUGO ISRAEL</cp:lastModifiedBy>
  <cp:lastPrinted>2019-05-23T16:31:55Z</cp:lastPrinted>
  <dcterms:created xsi:type="dcterms:W3CDTF">2019-02-08T18:18:07Z</dcterms:created>
  <dcterms:modified xsi:type="dcterms:W3CDTF">2019-05-23T17:23:13Z</dcterms:modified>
</cp:coreProperties>
</file>